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mulligan/Documents/MIDiA Research/Blogs/2019/"/>
    </mc:Choice>
  </mc:AlternateContent>
  <xr:revisionPtr revIDLastSave="0" documentId="13_ncr:1_{2598726B-5635-0E49-95F7-4D175D993590}" xr6:coauthVersionLast="36" xr6:coauthVersionMax="36" xr10:uidLastSave="{00000000-0000-0000-0000-000000000000}"/>
  <bookViews>
    <workbookView xWindow="1480" yWindow="460" windowWidth="27640" windowHeight="15660" xr2:uid="{C7A7F525-B734-874C-B045-60305C4E9ED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P7" i="1" s="1"/>
  <c r="H7" i="1"/>
  <c r="I7" i="1" s="1"/>
  <c r="D24" i="1"/>
  <c r="D29" i="1"/>
  <c r="D32" i="1"/>
  <c r="D30" i="1"/>
  <c r="D25" i="1"/>
  <c r="N6" i="1"/>
  <c r="P6" i="1" s="1"/>
  <c r="Q6" i="1" s="1"/>
  <c r="N5" i="1"/>
  <c r="N4" i="1"/>
  <c r="N3" i="1"/>
  <c r="P3" i="1" s="1"/>
  <c r="Q3" i="1" s="1"/>
  <c r="N2" i="1"/>
  <c r="P2" i="1" s="1"/>
  <c r="Q2" i="1" l="1"/>
  <c r="Q7" i="1"/>
  <c r="R7" i="1" s="1"/>
  <c r="T7" i="1" s="1"/>
  <c r="P4" i="1"/>
  <c r="P5" i="1"/>
  <c r="R6" i="1"/>
  <c r="T6" i="1" s="1"/>
  <c r="R3" i="1"/>
  <c r="T3" i="1" s="1"/>
  <c r="R2" i="1"/>
  <c r="T2" i="1" s="1"/>
  <c r="S6" i="1"/>
  <c r="S7" i="1" l="1"/>
  <c r="S3" i="1"/>
  <c r="Q5" i="1"/>
  <c r="R5" i="1" s="1"/>
  <c r="T5" i="1" s="1"/>
  <c r="Q4" i="1"/>
  <c r="S2" i="1"/>
  <c r="S5" i="1" l="1"/>
  <c r="R4" i="1"/>
  <c r="T4" i="1" l="1"/>
  <c r="S4" i="1"/>
  <c r="H6" i="1" l="1"/>
  <c r="I6" i="1" s="1"/>
  <c r="H5" i="1"/>
  <c r="I5" i="1" s="1"/>
  <c r="H4" i="1"/>
  <c r="I4" i="1" s="1"/>
  <c r="H3" i="1"/>
  <c r="I3" i="1" s="1"/>
  <c r="H2" i="1"/>
  <c r="I2" i="1" s="1"/>
  <c r="D10" i="1"/>
  <c r="C14" i="1" s="1"/>
  <c r="D40" i="1"/>
  <c r="D42" i="1" s="1"/>
  <c r="D19" i="1" s="1"/>
  <c r="D35" i="1" l="1"/>
  <c r="D34" i="1" s="1"/>
  <c r="U7" i="1"/>
  <c r="C16" i="1"/>
  <c r="C17" i="1"/>
  <c r="J4" i="1" s="1"/>
  <c r="K4" i="1" s="1"/>
  <c r="C15" i="1"/>
  <c r="J6" i="1" s="1"/>
  <c r="K6" i="1" s="1"/>
  <c r="U6" i="1"/>
  <c r="U2" i="1"/>
  <c r="U5" i="1"/>
  <c r="U4" i="1"/>
  <c r="U3" i="1"/>
  <c r="J5" i="1" l="1"/>
  <c r="K5" i="1" s="1"/>
  <c r="J7" i="1"/>
  <c r="K7" i="1" s="1"/>
  <c r="X7" i="1" s="1"/>
  <c r="V7" i="1"/>
  <c r="J3" i="1"/>
  <c r="K3" i="1" s="1"/>
  <c r="J2" i="1"/>
  <c r="K2" i="1" s="1"/>
  <c r="V2" i="1"/>
  <c r="V3" i="1"/>
  <c r="X3" i="1"/>
  <c r="V6" i="1"/>
  <c r="X6" i="1"/>
  <c r="V4" i="1"/>
  <c r="X4" i="1"/>
  <c r="V5" i="1"/>
  <c r="X5" i="1"/>
  <c r="X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Mulligan</author>
  </authors>
  <commentList>
    <comment ref="E19" authorId="0" shapeId="0" xr:uid="{59D88C25-9882-8245-BCA6-FF91614CF3F9}">
      <text>
        <r>
          <rPr>
            <b/>
            <sz val="10"/>
            <color rgb="FF000000"/>
            <rFont val="Tahoma"/>
            <family val="2"/>
          </rPr>
          <t>Mark Mulligan: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Fornite Creator Support % deflator</t>
        </r>
      </text>
    </comment>
  </commentList>
</comments>
</file>

<file path=xl/sharedStrings.xml><?xml version="1.0" encoding="utf-8"?>
<sst xmlns="http://schemas.openxmlformats.org/spreadsheetml/2006/main" count="54" uniqueCount="52">
  <si>
    <t>Circa Waves</t>
  </si>
  <si>
    <t>The Hara</t>
  </si>
  <si>
    <t>Billie Eilish</t>
  </si>
  <si>
    <t>Lauv</t>
  </si>
  <si>
    <t>Rex Orange County</t>
  </si>
  <si>
    <t>Label per stream rate</t>
  </si>
  <si>
    <t>Label services artist</t>
  </si>
  <si>
    <t>Independent artist</t>
  </si>
  <si>
    <t>Major label artist</t>
  </si>
  <si>
    <t>Per stream rate</t>
  </si>
  <si>
    <t>Royalty share</t>
  </si>
  <si>
    <t>Total streams</t>
  </si>
  <si>
    <t>Monthly streaming income</t>
  </si>
  <si>
    <t>Spotify premium share of users</t>
  </si>
  <si>
    <t>Listeners that are subscribers</t>
  </si>
  <si>
    <t>Retail subs revenue</t>
  </si>
  <si>
    <t>Spotify price point</t>
  </si>
  <si>
    <t>Sales tax average rate</t>
  </si>
  <si>
    <t>Subs revenue minus sales tax</t>
  </si>
  <si>
    <t>Royalty pot share</t>
  </si>
  <si>
    <t>Publishing royalty share</t>
  </si>
  <si>
    <t>Label royalty share</t>
  </si>
  <si>
    <t>Combined blended per stream rate</t>
  </si>
  <si>
    <t>Royalty bearing revenue</t>
  </si>
  <si>
    <t>Label royalty revenue</t>
  </si>
  <si>
    <t>Track 1</t>
  </si>
  <si>
    <t>Track 2</t>
  </si>
  <si>
    <t>Track 3</t>
  </si>
  <si>
    <t>Track 4</t>
  </si>
  <si>
    <t>Track 5</t>
  </si>
  <si>
    <t>Estimated monthly streams</t>
  </si>
  <si>
    <t>Monthly Listeners</t>
  </si>
  <si>
    <t>Spotify subscribers</t>
  </si>
  <si>
    <t>Spotify premium revenue</t>
  </si>
  <si>
    <t>Spotify label royalty</t>
  </si>
  <si>
    <t>% subscribers that support</t>
  </si>
  <si>
    <t>Supporting subscribers</t>
  </si>
  <si>
    <t>Share of royalty income committed</t>
  </si>
  <si>
    <t>Total royalty cost</t>
  </si>
  <si>
    <t>Spotify subscriber ARPU</t>
  </si>
  <si>
    <t>Artist 'creator support' income (9.99 sub)</t>
  </si>
  <si>
    <t>Artist 'creator support' income (average sub)</t>
  </si>
  <si>
    <t>Spotify price point minus sales tax</t>
  </si>
  <si>
    <t>% listeners that support</t>
  </si>
  <si>
    <t>Support income as % stream income</t>
  </si>
  <si>
    <t>Average # artists supported</t>
  </si>
  <si>
    <t>Taylor Swift</t>
  </si>
  <si>
    <t>Fornite Vbucks pricing</t>
  </si>
  <si>
    <t>Fortnite Vbucks pay out threshold</t>
  </si>
  <si>
    <t>Amount paid to Fornite cxreators</t>
  </si>
  <si>
    <t>Effective payout rate</t>
  </si>
  <si>
    <t>Creator Support Royalty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</si>
</sst>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_(* #,##0.000_);_(* \(#,##0.000\);_(* &quot;-&quot;??_);_(@_)"/>
    <numFmt numFmtId="170" formatCode="[$$-C09]#,##0;\-[$$-C09]#,##0"/>
    <numFmt numFmtId="171" formatCode="[$$-C09]#,##0.00;\-[$$-C09]#,##0.00"/>
  </numFmts>
  <fonts count="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1" applyNumberFormat="1" applyFont="1"/>
    <xf numFmtId="43" fontId="0" fillId="0" borderId="0" xfId="0" applyNumberFormat="1"/>
    <xf numFmtId="167" fontId="0" fillId="0" borderId="0" xfId="0" applyNumberFormat="1"/>
    <xf numFmtId="166" fontId="0" fillId="0" borderId="0" xfId="0" applyNumberFormat="1"/>
    <xf numFmtId="165" fontId="0" fillId="0" borderId="0" xfId="0" applyNumberFormat="1"/>
    <xf numFmtId="170" fontId="0" fillId="0" borderId="0" xfId="0" applyNumberFormat="1"/>
    <xf numFmtId="170" fontId="0" fillId="0" borderId="0" xfId="1" applyNumberFormat="1" applyFont="1"/>
    <xf numFmtId="166" fontId="1" fillId="0" borderId="0" xfId="1" applyNumberFormat="1" applyFont="1"/>
    <xf numFmtId="43" fontId="1" fillId="0" borderId="0" xfId="1" applyNumberFormat="1" applyFont="1"/>
    <xf numFmtId="10" fontId="0" fillId="0" borderId="0" xfId="2" applyNumberFormat="1" applyFont="1"/>
    <xf numFmtId="43" fontId="0" fillId="0" borderId="0" xfId="1" applyNumberFormat="1" applyFont="1"/>
    <xf numFmtId="171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50800</xdr:rowOff>
    </xdr:from>
    <xdr:to>
      <xdr:col>1</xdr:col>
      <xdr:colOff>2235200</xdr:colOff>
      <xdr:row>1</xdr:row>
      <xdr:rowOff>9559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6BB248-9E0E-FC42-97AA-CC6577D3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50800"/>
          <a:ext cx="2222500" cy="669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7652-6B20-0245-9B75-6F3992F6C5C1}">
  <dimension ref="B1:X4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1" sqref="I11"/>
    </sheetView>
  </sheetViews>
  <sheetFormatPr baseColWidth="10" defaultRowHeight="16"/>
  <cols>
    <col min="1" max="1" width="8.6640625" customWidth="1"/>
    <col min="2" max="2" width="37.5" customWidth="1"/>
    <col min="3" max="7" width="12.33203125" customWidth="1"/>
    <col min="8" max="8" width="14" bestFit="1" customWidth="1"/>
    <col min="9" max="11" width="15" bestFit="1" customWidth="1"/>
    <col min="12" max="13" width="15.1640625" bestFit="1" customWidth="1"/>
    <col min="14" max="16" width="15.1640625" customWidth="1"/>
    <col min="17" max="17" width="14" bestFit="1" customWidth="1"/>
    <col min="18" max="18" width="14.6640625" customWidth="1"/>
    <col min="19" max="21" width="14.33203125" customWidth="1"/>
    <col min="22" max="22" width="14" bestFit="1" customWidth="1"/>
    <col min="23" max="23" width="15" bestFit="1" customWidth="1"/>
    <col min="24" max="24" width="13.33203125" customWidth="1"/>
    <col min="25" max="26" width="14" bestFit="1" customWidth="1"/>
    <col min="27" max="27" width="13" bestFit="1" customWidth="1"/>
  </cols>
  <sheetData>
    <row r="1" spans="2:24" ht="56" customHeight="1"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11</v>
      </c>
      <c r="I1" t="s">
        <v>30</v>
      </c>
      <c r="J1" t="s">
        <v>9</v>
      </c>
      <c r="K1" t="s">
        <v>12</v>
      </c>
      <c r="M1" t="s">
        <v>31</v>
      </c>
      <c r="N1" t="s">
        <v>14</v>
      </c>
      <c r="O1" t="s">
        <v>43</v>
      </c>
      <c r="P1" t="s">
        <v>36</v>
      </c>
      <c r="Q1" t="s">
        <v>15</v>
      </c>
      <c r="R1" t="s">
        <v>18</v>
      </c>
      <c r="S1" t="s">
        <v>23</v>
      </c>
      <c r="T1" t="s">
        <v>24</v>
      </c>
      <c r="U1" t="s">
        <v>40</v>
      </c>
      <c r="V1" t="s">
        <v>41</v>
      </c>
      <c r="X1" t="s">
        <v>44</v>
      </c>
    </row>
    <row r="2" spans="2:24">
      <c r="B2" t="s">
        <v>3</v>
      </c>
      <c r="C2" s="4">
        <v>186718916</v>
      </c>
      <c r="D2" s="4">
        <v>685502245</v>
      </c>
      <c r="E2" s="4">
        <v>131467475</v>
      </c>
      <c r="F2" s="4">
        <v>64098596</v>
      </c>
      <c r="G2" s="4">
        <v>46303980</v>
      </c>
      <c r="H2" s="8">
        <f>SUM(C2:G2)</f>
        <v>1114091212</v>
      </c>
      <c r="I2" s="4">
        <f>H2/18</f>
        <v>61893956.222222224</v>
      </c>
      <c r="J2" s="7">
        <f>C15</f>
        <v>3.4571428571428574E-3</v>
      </c>
      <c r="K2" s="4">
        <f>J2*I2</f>
        <v>213976.24865396827</v>
      </c>
      <c r="M2" s="4">
        <v>25962927</v>
      </c>
      <c r="N2" s="4">
        <f>M2*$D$21</f>
        <v>11942946.42</v>
      </c>
      <c r="O2" s="1">
        <v>0.1</v>
      </c>
      <c r="P2" s="4">
        <f>O2*N2</f>
        <v>1194294.642</v>
      </c>
      <c r="Q2" s="10">
        <f>P2*$D$22</f>
        <v>11931003.473580001</v>
      </c>
      <c r="R2" s="10">
        <f>Q2/(1+$D$23)</f>
        <v>10374785.629200002</v>
      </c>
      <c r="S2" s="10">
        <f>R2*$D$25</f>
        <v>7262349.9404400019</v>
      </c>
      <c r="T2" s="10">
        <f>R2*$C$10</f>
        <v>5706132.0960600013</v>
      </c>
      <c r="U2" s="11">
        <f>T2*$D$19</f>
        <v>57118.43940000001</v>
      </c>
      <c r="V2" s="11">
        <f>U2*(D$29/D$24)</f>
        <v>26922.91514146699</v>
      </c>
      <c r="X2" s="1">
        <f>U2/K2</f>
        <v>0.26693822215926921</v>
      </c>
    </row>
    <row r="3" spans="2:24">
      <c r="B3" t="s">
        <v>2</v>
      </c>
      <c r="C3" s="4">
        <v>173317206</v>
      </c>
      <c r="D3" s="4">
        <v>271095708</v>
      </c>
      <c r="E3" s="4">
        <v>133471519</v>
      </c>
      <c r="F3" s="4">
        <v>378858048</v>
      </c>
      <c r="G3" s="4">
        <v>489436578</v>
      </c>
      <c r="H3" s="8">
        <f>SUM(C3:G3)</f>
        <v>1446179059</v>
      </c>
      <c r="I3" s="4">
        <f t="shared" ref="I3:I6" si="0">H3/18</f>
        <v>80343281.055555552</v>
      </c>
      <c r="J3" s="7">
        <f>C17</f>
        <v>1.5714285714285715E-3</v>
      </c>
      <c r="K3" s="4">
        <f t="shared" ref="K3:K7" si="1">J3*I3</f>
        <v>126253.72737301588</v>
      </c>
      <c r="M3" s="4">
        <v>44858763</v>
      </c>
      <c r="N3" s="4">
        <f>M3*$D$21</f>
        <v>20635030.98</v>
      </c>
      <c r="O3" s="1">
        <v>0.1</v>
      </c>
      <c r="P3" s="4">
        <f t="shared" ref="P3:P6" si="2">O3*N3</f>
        <v>2063503.0980000002</v>
      </c>
      <c r="Q3" s="10">
        <f>P3*$D$22</f>
        <v>20614395.949020002</v>
      </c>
      <c r="R3" s="10">
        <f>Q3/(1+$D$23)</f>
        <v>17925561.694800004</v>
      </c>
      <c r="S3" s="10">
        <f>R3*$D$25</f>
        <v>12547893.186360003</v>
      </c>
      <c r="T3" s="10">
        <f>R3*$C$10</f>
        <v>9859058.9321400039</v>
      </c>
      <c r="U3" s="11">
        <f>T3*$D$19</f>
        <v>98689.278600000034</v>
      </c>
      <c r="V3" s="11">
        <f>U3*(D$29/D$24)</f>
        <v>46517.431166377326</v>
      </c>
      <c r="X3" s="1">
        <f t="shared" ref="X3:X7" si="3">U3/K3</f>
        <v>0.78167417828721331</v>
      </c>
    </row>
    <row r="4" spans="2:24">
      <c r="B4" t="s">
        <v>0</v>
      </c>
      <c r="C4" s="4">
        <v>2520713</v>
      </c>
      <c r="D4" s="4">
        <v>54820302</v>
      </c>
      <c r="E4" s="4">
        <v>3688672</v>
      </c>
      <c r="F4" s="4">
        <v>647994</v>
      </c>
      <c r="G4" s="4">
        <v>7543476</v>
      </c>
      <c r="H4" s="8">
        <f>SUM(C4:G4)</f>
        <v>69221157</v>
      </c>
      <c r="I4" s="4">
        <f t="shared" si="0"/>
        <v>3845619.8333333335</v>
      </c>
      <c r="J4" s="7">
        <f>C17</f>
        <v>1.5714285714285715E-3</v>
      </c>
      <c r="K4" s="4">
        <f t="shared" si="1"/>
        <v>6043.1168809523815</v>
      </c>
      <c r="M4" s="4">
        <v>1791000</v>
      </c>
      <c r="N4" s="4">
        <f>M4*$D$21</f>
        <v>823860</v>
      </c>
      <c r="O4" s="1">
        <v>0.1</v>
      </c>
      <c r="P4" s="4">
        <f t="shared" si="2"/>
        <v>82386</v>
      </c>
      <c r="Q4" s="10">
        <f>P4*$D$22</f>
        <v>823036.14</v>
      </c>
      <c r="R4" s="10">
        <f>Q4/(1+$D$23)</f>
        <v>715683.60000000009</v>
      </c>
      <c r="S4" s="10">
        <f>R4*$D$25</f>
        <v>500978.52000000014</v>
      </c>
      <c r="T4" s="10">
        <f>R4*$C$10</f>
        <v>393625.9800000001</v>
      </c>
      <c r="U4" s="11">
        <f>T4*$D$19</f>
        <v>3940.2000000000007</v>
      </c>
      <c r="V4" s="11">
        <f>U4*(D$29/D$24)</f>
        <v>1857.2228400275278</v>
      </c>
      <c r="X4" s="1">
        <f t="shared" si="3"/>
        <v>0.65201452787043135</v>
      </c>
    </row>
    <row r="5" spans="2:24">
      <c r="B5" t="s">
        <v>1</v>
      </c>
      <c r="C5" s="4">
        <v>97957</v>
      </c>
      <c r="D5" s="4">
        <v>19501</v>
      </c>
      <c r="E5" s="4">
        <v>13836</v>
      </c>
      <c r="F5" s="4">
        <v>75283</v>
      </c>
      <c r="G5" s="4">
        <v>12985</v>
      </c>
      <c r="H5" s="8">
        <f>SUM(C5:G5)</f>
        <v>219562</v>
      </c>
      <c r="I5" s="4">
        <f t="shared" si="0"/>
        <v>12197.888888888889</v>
      </c>
      <c r="J5" s="7">
        <f>C16</f>
        <v>3.142857142857143E-3</v>
      </c>
      <c r="K5" s="4">
        <f t="shared" si="1"/>
        <v>38.336222222222226</v>
      </c>
      <c r="M5" s="4">
        <v>5827</v>
      </c>
      <c r="N5" s="4">
        <f>M5*$D$21</f>
        <v>2680.42</v>
      </c>
      <c r="O5" s="1">
        <v>0.1</v>
      </c>
      <c r="P5" s="4">
        <f t="shared" si="2"/>
        <v>268.04200000000003</v>
      </c>
      <c r="Q5" s="10">
        <f>P5*$D$22</f>
        <v>2677.7395800000004</v>
      </c>
      <c r="R5" s="10">
        <f>Q5/(1+$D$23)</f>
        <v>2328.4692000000005</v>
      </c>
      <c r="S5" s="10">
        <f>R5*$D$25</f>
        <v>1629.9284400000004</v>
      </c>
      <c r="T5" s="10">
        <f>R5*$C$10</f>
        <v>1280.6580600000004</v>
      </c>
      <c r="U5" s="11">
        <f>T5*$D$19</f>
        <v>12.819400000000003</v>
      </c>
      <c r="V5" s="11">
        <f>U5*(D$29/D$24)</f>
        <v>6.042455325985709</v>
      </c>
      <c r="X5" s="1">
        <f t="shared" si="3"/>
        <v>0.33439392973283177</v>
      </c>
    </row>
    <row r="6" spans="2:24">
      <c r="B6" t="s">
        <v>4</v>
      </c>
      <c r="C6" s="4">
        <v>108374455</v>
      </c>
      <c r="D6" s="4">
        <v>95040076</v>
      </c>
      <c r="E6" s="4">
        <v>96278217</v>
      </c>
      <c r="F6" s="4">
        <v>38837298</v>
      </c>
      <c r="G6" s="4">
        <v>9465223</v>
      </c>
      <c r="H6" s="8">
        <f>SUM(C6:G6)</f>
        <v>347995269</v>
      </c>
      <c r="I6" s="4">
        <f t="shared" si="0"/>
        <v>19333070.5</v>
      </c>
      <c r="J6" s="7">
        <f>C15</f>
        <v>3.4571428571428574E-3</v>
      </c>
      <c r="K6" s="4">
        <f t="shared" si="1"/>
        <v>66837.186585714284</v>
      </c>
      <c r="M6" s="4">
        <v>5371538</v>
      </c>
      <c r="N6" s="4">
        <f>M6*$D$21</f>
        <v>2470907.48</v>
      </c>
      <c r="O6" s="1">
        <v>0.1</v>
      </c>
      <c r="P6" s="4">
        <f t="shared" si="2"/>
        <v>247090.74800000002</v>
      </c>
      <c r="Q6" s="10">
        <f>P6*$D$22</f>
        <v>2468436.5725200004</v>
      </c>
      <c r="R6" s="10">
        <f>Q6/(1+$D$23)</f>
        <v>2146466.5848000003</v>
      </c>
      <c r="S6" s="10">
        <f>R6*$D$25</f>
        <v>1502526.6093600004</v>
      </c>
      <c r="T6" s="10">
        <f>R6*$C$10</f>
        <v>1180556.6216400003</v>
      </c>
      <c r="U6" s="11">
        <f>T6*$D$19</f>
        <v>11817.383600000003</v>
      </c>
      <c r="V6" s="11">
        <f>U6*(D$29/D$24)</f>
        <v>5570.1524621305343</v>
      </c>
      <c r="X6" s="1">
        <f t="shared" si="3"/>
        <v>0.17680851339912382</v>
      </c>
    </row>
    <row r="7" spans="2:24">
      <c r="B7" t="s">
        <v>46</v>
      </c>
      <c r="C7" s="4">
        <v>272972777</v>
      </c>
      <c r="D7" s="4">
        <v>844799644</v>
      </c>
      <c r="E7" s="4">
        <v>288573514</v>
      </c>
      <c r="F7" s="4">
        <v>191697462</v>
      </c>
      <c r="G7" s="4">
        <v>465124664</v>
      </c>
      <c r="H7" s="8">
        <f>SUM(C7:G7)</f>
        <v>2063168061</v>
      </c>
      <c r="I7" s="4">
        <f>H7/28</f>
        <v>73684573.607142851</v>
      </c>
      <c r="J7" s="7">
        <f>C16</f>
        <v>3.142857142857143E-3</v>
      </c>
      <c r="K7" s="4">
        <f t="shared" si="1"/>
        <v>231580.08847959182</v>
      </c>
      <c r="M7" s="4">
        <v>23510050</v>
      </c>
      <c r="N7" s="4">
        <f>M7*$D$21</f>
        <v>10814623</v>
      </c>
      <c r="O7" s="1">
        <v>0.1</v>
      </c>
      <c r="P7" s="4">
        <f t="shared" ref="P7" si="4">O7*N7</f>
        <v>1081462.3</v>
      </c>
      <c r="Q7" s="10">
        <f>P7*$D$22</f>
        <v>10803808.377</v>
      </c>
      <c r="R7" s="10">
        <f>Q7/(1+$D$23)</f>
        <v>9394615.9800000004</v>
      </c>
      <c r="S7" s="10">
        <f>R7*$D$25</f>
        <v>6576231.1860000007</v>
      </c>
      <c r="T7" s="10">
        <f>R7*$C$10</f>
        <v>5167038.7890000008</v>
      </c>
      <c r="U7" s="11">
        <f>T7*$D$19</f>
        <v>51722.110000000008</v>
      </c>
      <c r="V7" s="11">
        <f>U7*(D$29/D$24)</f>
        <v>24379.342172076591</v>
      </c>
      <c r="X7" s="1">
        <f t="shared" si="3"/>
        <v>0.2233443744648973</v>
      </c>
    </row>
    <row r="8" spans="2:24">
      <c r="H8" s="4"/>
      <c r="I8" s="4"/>
      <c r="J8" s="4"/>
      <c r="K8" s="4"/>
      <c r="R8" s="16"/>
      <c r="V8" s="16"/>
    </row>
    <row r="9" spans="2:24">
      <c r="B9" t="s">
        <v>20</v>
      </c>
      <c r="C9" s="1">
        <v>0.15</v>
      </c>
    </row>
    <row r="10" spans="2:24">
      <c r="B10" t="s">
        <v>21</v>
      </c>
      <c r="C10" s="1">
        <v>0.55000000000000004</v>
      </c>
      <c r="D10">
        <f>C10/(C9+C10)</f>
        <v>0.7857142857142857</v>
      </c>
    </row>
    <row r="11" spans="2:24">
      <c r="B11" t="s">
        <v>22</v>
      </c>
      <c r="C11">
        <v>8.0000000000000002E-3</v>
      </c>
    </row>
    <row r="13" spans="2:24">
      <c r="C13" t="s">
        <v>9</v>
      </c>
      <c r="D13" t="s">
        <v>10</v>
      </c>
    </row>
    <row r="14" spans="2:24">
      <c r="B14" t="s">
        <v>5</v>
      </c>
      <c r="C14" s="5">
        <f>C11*D10</f>
        <v>6.285714285714286E-3</v>
      </c>
    </row>
    <row r="15" spans="2:24">
      <c r="B15" t="s">
        <v>6</v>
      </c>
      <c r="C15" s="7">
        <f>C$14*$D15</f>
        <v>3.4571428571428574E-3</v>
      </c>
      <c r="D15" s="1">
        <v>0.55000000000000004</v>
      </c>
    </row>
    <row r="16" spans="2:24">
      <c r="B16" t="s">
        <v>7</v>
      </c>
      <c r="C16" s="7">
        <f t="shared" ref="C16:C17" si="5">C$14*$D16</f>
        <v>3.142857142857143E-3</v>
      </c>
      <c r="D16" s="1">
        <v>0.5</v>
      </c>
      <c r="M16" s="1"/>
      <c r="P16" s="8"/>
      <c r="Q16" s="8"/>
      <c r="R16" s="8"/>
      <c r="S16" s="10"/>
      <c r="T16" s="1"/>
    </row>
    <row r="17" spans="2:20">
      <c r="B17" t="s">
        <v>8</v>
      </c>
      <c r="C17" s="7">
        <f t="shared" si="5"/>
        <v>1.5714285714285715E-3</v>
      </c>
      <c r="D17" s="1">
        <v>0.25</v>
      </c>
      <c r="M17" s="1"/>
      <c r="P17" s="8"/>
      <c r="Q17" s="8"/>
      <c r="R17" s="8"/>
      <c r="S17" s="10"/>
      <c r="T17" s="1"/>
    </row>
    <row r="18" spans="2:20">
      <c r="C18" s="7"/>
      <c r="D18" s="1"/>
      <c r="M18" s="1"/>
      <c r="P18" s="8"/>
      <c r="Q18" s="8"/>
      <c r="R18" s="8"/>
      <c r="S18" s="10"/>
      <c r="T18" s="1"/>
    </row>
    <row r="19" spans="2:20">
      <c r="B19" t="s">
        <v>51</v>
      </c>
      <c r="D19" s="2">
        <f>D42*E19</f>
        <v>1.001001001001001E-2</v>
      </c>
      <c r="E19">
        <v>0.2</v>
      </c>
      <c r="P19" s="8"/>
      <c r="Q19" s="8"/>
      <c r="R19" s="8"/>
      <c r="S19" s="10"/>
      <c r="T19" s="1"/>
    </row>
    <row r="20" spans="2:20">
      <c r="P20" s="8"/>
      <c r="Q20" s="8"/>
      <c r="R20" s="8"/>
      <c r="S20" s="10"/>
      <c r="T20" s="1"/>
    </row>
    <row r="21" spans="2:20">
      <c r="B21" t="s">
        <v>13</v>
      </c>
      <c r="D21" s="1">
        <v>0.46</v>
      </c>
      <c r="P21" s="8"/>
      <c r="Q21" s="8"/>
      <c r="R21" s="8"/>
      <c r="S21" s="10"/>
      <c r="T21" s="1"/>
    </row>
    <row r="22" spans="2:20">
      <c r="B22" t="s">
        <v>16</v>
      </c>
      <c r="D22">
        <v>9.99</v>
      </c>
    </row>
    <row r="23" spans="2:20">
      <c r="B23" t="s">
        <v>17</v>
      </c>
      <c r="D23" s="1">
        <v>0.15</v>
      </c>
    </row>
    <row r="24" spans="2:20">
      <c r="B24" t="s">
        <v>42</v>
      </c>
      <c r="D24" s="15">
        <f>D22/(1+D23)</f>
        <v>8.6869565217391305</v>
      </c>
    </row>
    <row r="25" spans="2:20">
      <c r="B25" t="s">
        <v>19</v>
      </c>
      <c r="D25" s="1">
        <f>C9+C10</f>
        <v>0.70000000000000007</v>
      </c>
    </row>
    <row r="27" spans="2:20">
      <c r="B27" t="s">
        <v>32</v>
      </c>
      <c r="D27" s="4">
        <v>96</v>
      </c>
    </row>
    <row r="28" spans="2:20">
      <c r="B28" t="s">
        <v>33</v>
      </c>
      <c r="D28" s="12">
        <v>4717</v>
      </c>
    </row>
    <row r="29" spans="2:20">
      <c r="B29" t="s">
        <v>39</v>
      </c>
      <c r="D29" s="13">
        <f>(D28/D27)/12</f>
        <v>4.0946180555555554</v>
      </c>
    </row>
    <row r="30" spans="2:20">
      <c r="B30" t="s">
        <v>34</v>
      </c>
      <c r="D30" s="4">
        <f>D28*C10</f>
        <v>2594.3500000000004</v>
      </c>
      <c r="F30" s="6"/>
    </row>
    <row r="31" spans="2:20">
      <c r="B31" t="s">
        <v>35</v>
      </c>
      <c r="D31" s="1">
        <v>0.75</v>
      </c>
    </row>
    <row r="32" spans="2:20">
      <c r="B32" t="s">
        <v>36</v>
      </c>
      <c r="D32" s="8">
        <f>D31*D27</f>
        <v>72</v>
      </c>
    </row>
    <row r="33" spans="2:7">
      <c r="B33" t="s">
        <v>45</v>
      </c>
      <c r="D33" s="9">
        <v>1.5</v>
      </c>
    </row>
    <row r="34" spans="2:7">
      <c r="B34" t="s">
        <v>37</v>
      </c>
      <c r="D34" s="14">
        <f>D35/D30</f>
        <v>1.1261261261261261E-2</v>
      </c>
    </row>
    <row r="35" spans="2:7">
      <c r="B35" t="s">
        <v>38</v>
      </c>
      <c r="D35" s="3">
        <f>(D30*D31)*(D33*D19)</f>
        <v>29.215653153153156</v>
      </c>
      <c r="F35" s="6"/>
      <c r="G35" s="4"/>
    </row>
    <row r="39" spans="2:7">
      <c r="B39" t="s">
        <v>47</v>
      </c>
      <c r="C39">
        <v>1000</v>
      </c>
      <c r="D39">
        <v>9.99</v>
      </c>
    </row>
    <row r="40" spans="2:7">
      <c r="B40" t="s">
        <v>48</v>
      </c>
      <c r="C40">
        <v>10000</v>
      </c>
      <c r="D40">
        <f>D39*C40/C39</f>
        <v>99.9</v>
      </c>
    </row>
    <row r="41" spans="2:7">
      <c r="B41" t="s">
        <v>49</v>
      </c>
      <c r="D41">
        <v>5</v>
      </c>
    </row>
    <row r="42" spans="2:7">
      <c r="B42" t="s">
        <v>50</v>
      </c>
      <c r="D42" s="2">
        <f>D41/D40</f>
        <v>5.0050050050050046E-2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Mulligan</dc:creator>
  <cp:lastModifiedBy>Mark Mulligan</cp:lastModifiedBy>
  <dcterms:created xsi:type="dcterms:W3CDTF">2019-04-26T06:02:01Z</dcterms:created>
  <dcterms:modified xsi:type="dcterms:W3CDTF">2019-04-26T13:56:05Z</dcterms:modified>
</cp:coreProperties>
</file>